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95" windowWidth="11580" windowHeight="48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<sst xmlns="http://schemas.openxmlformats.org/spreadsheetml/2006/main" count="156" uniqueCount="111">
  <si>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</si>
  <si>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</si>
  <si>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</si>
  <si>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</si>
  <si>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</si>
  <si>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</si>
  <si>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</si>
  <si>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</si>
  <si>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</si>
  <si>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</si>
  <si>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</si>
  <si>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</si>
  <si>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</si>
  <si>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</si>
  <si>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</si>
  <si>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</si>
  <si>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</si>
  <si>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</si>
  <si>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</si>
  <si>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</si>
  <si>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</si>
  <si>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</si>
  <si>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Надання пільг.довгостр.кредиту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</si>
  <si>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</si>
  <si>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</si>
  <si>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</si>
  <si>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</si>
  <si>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</si>
  <si>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</si>
  <si>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</si>
  <si>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</si>
  <si>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</si>
  <si>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</si>
  <si>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</si>
  <si>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</si>
  <si>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</si>
  <si>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</si>
  <si>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</si>
  <si>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</si>
  <si>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</si>
  <si>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</si>
  <si>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</si>
  <si>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</si>
  <si>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</si>
  <si>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</si>
  <si>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</si>
  <si>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</si>
  <si>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</si>
  <si>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</si>
  <si>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</si>
  <si>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</si>
  <si>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</si>
  <si>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</si>
  <si>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</si>
  <si>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</si>
  <si>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</si>
  <si>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</si>
  <si>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</si>
  <si>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</si>
  <si>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</si>
  <si>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</si>
  <si>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</si>
  <si>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</si>
  <si>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</si>
  <si>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</si>
  <si>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</si>
  <si>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</si>
  <si>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</si>
  <si>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</si>
  <si>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</si>
  <si>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</si>
  <si>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</si>
  <si>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</si>
  <si>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</si>
  <si>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</si>
  <si>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</si>
  <si>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</si>
  <si>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</si>
  <si>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</si>
  <si>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</si>
  <si>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</si>
  <si>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</si>
  <si>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</si>
  <si>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</si>
  <si>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</si>
  <si>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</si>
  <si>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</si>
  <si>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</si>
  <si>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</si>
  <si>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</si>
  <si>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</si>
  <si>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</si>
  <si>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</si>
  <si>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</si>
  <si>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</si>
  <si>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</si>
  <si>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</si>
  <si>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</si>
  <si>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</si>
  <si>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</si>
  <si>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</si>
  <si>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</si>
  <si>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</si>
  <si>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</si>
  <si>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тимчасовий план на 1 півріччя, тис.грн.</t>
  </si>
  <si>
    <t>Відсоток виконання тимчасового плану на 1 півріччя</t>
  </si>
  <si>
    <t>Відхилення від тимчасовго плану на 1 півріччя,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</si>
  <si>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</si>
  <si>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</si>
  <si>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</si>
  <si>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2014 рік станом на 05.02.2014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</si>
</sst>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3098.2000000000003</c:v>
                </c:pt>
                <c:pt idx="1">
                  <c:v>2734.2</c:v>
                </c:pt>
                <c:pt idx="2">
                  <c:v>125</c:v>
                </c:pt>
                <c:pt idx="3">
                  <c:v>239.00000000000045</c:v>
                </c:pt>
              </c:numCache>
            </c:numRef>
          </c:val>
          <c:shape val="box"/>
        </c:ser>
        <c:shape val="box"/>
        <c:axId val="149208"/>
        <c:axId val="3133369"/>
      </c:bar3DChart>
      <c:catAx>
        <c:axId val="149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33369"/>
        <c:crosses val="autoZero"/>
        <c:auto val="1"/>
        <c:lblOffset val="100"/>
        <c:tickLblSkip val="1"/>
        <c:noMultiLvlLbl val="0"/>
      </c:catAx>
      <c:valAx>
        <c:axId val="3133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2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19339</c:v>
                </c:pt>
                <c:pt idx="1">
                  <c:v>17937.2</c:v>
                </c:pt>
                <c:pt idx="3">
                  <c:v>1315</c:v>
                </c:pt>
                <c:pt idx="4">
                  <c:v>77.8</c:v>
                </c:pt>
                <c:pt idx="5">
                  <c:v>4</c:v>
                </c:pt>
                <c:pt idx="6">
                  <c:v>4.999999999999275</c:v>
                </c:pt>
              </c:numCache>
            </c:numRef>
          </c:val>
          <c:shape val="box"/>
        </c:ser>
        <c:shape val="box"/>
        <c:axId val="65800750"/>
        <c:axId val="39638471"/>
      </c:bar3DChart>
      <c:catAx>
        <c:axId val="65800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38471"/>
        <c:crosses val="autoZero"/>
        <c:auto val="1"/>
        <c:lblOffset val="100"/>
        <c:tickLblSkip val="1"/>
        <c:noMultiLvlLbl val="0"/>
      </c:catAx>
      <c:valAx>
        <c:axId val="39638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007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12615.8</c:v>
                </c:pt>
                <c:pt idx="1">
                  <c:v>11982.5</c:v>
                </c:pt>
                <c:pt idx="2">
                  <c:v>15</c:v>
                </c:pt>
                <c:pt idx="3">
                  <c:v>50.7</c:v>
                </c:pt>
                <c:pt idx="5">
                  <c:v>14.2</c:v>
                </c:pt>
                <c:pt idx="6">
                  <c:v>553.3999999999992</c:v>
                </c:pt>
              </c:numCache>
            </c:numRef>
          </c:val>
          <c:shape val="box"/>
        </c:ser>
        <c:shape val="box"/>
        <c:axId val="27101524"/>
        <c:axId val="32261093"/>
      </c:bar3DChart>
      <c:catAx>
        <c:axId val="27101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61093"/>
        <c:crosses val="autoZero"/>
        <c:auto val="1"/>
        <c:lblOffset val="100"/>
        <c:tickLblSkip val="1"/>
        <c:noMultiLvlLbl val="0"/>
      </c:catAx>
      <c:valAx>
        <c:axId val="32261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015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2543.3999999999996</c:v>
                </c:pt>
                <c:pt idx="1">
                  <c:v>2240.6</c:v>
                </c:pt>
                <c:pt idx="2">
                  <c:v>3.5</c:v>
                </c:pt>
                <c:pt idx="3">
                  <c:v>47</c:v>
                </c:pt>
                <c:pt idx="5">
                  <c:v>252.29999999999973</c:v>
                </c:pt>
              </c:numCache>
            </c:numRef>
          </c:val>
          <c:shape val="box"/>
        </c:ser>
        <c:shape val="box"/>
        <c:axId val="6394314"/>
        <c:axId val="62867"/>
      </c:bar3DChart>
      <c:catAx>
        <c:axId val="639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67"/>
        <c:crosses val="autoZero"/>
        <c:auto val="1"/>
        <c:lblOffset val="100"/>
        <c:tickLblSkip val="1"/>
        <c:noMultiLvlLbl val="0"/>
      </c:catAx>
      <c:valAx>
        <c:axId val="62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3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758.3</c:v>
                </c:pt>
                <c:pt idx="1">
                  <c:v>626.3</c:v>
                </c:pt>
                <c:pt idx="2">
                  <c:v>2.4</c:v>
                </c:pt>
                <c:pt idx="3">
                  <c:v>6</c:v>
                </c:pt>
                <c:pt idx="4">
                  <c:v>123.6</c:v>
                </c:pt>
              </c:numCache>
            </c:numRef>
          </c:val>
          <c:shape val="box"/>
        </c:ser>
        <c:shape val="box"/>
        <c:axId val="1320208"/>
        <c:axId val="27724369"/>
      </c:bar3DChart>
      <c:catAx>
        <c:axId val="1320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24369"/>
        <c:crosses val="autoZero"/>
        <c:auto val="1"/>
        <c:lblOffset val="100"/>
        <c:tickLblSkip val="2"/>
        <c:noMultiLvlLbl val="0"/>
      </c:catAx>
      <c:valAx>
        <c:axId val="27724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02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181.4</c:v>
                </c:pt>
                <c:pt idx="1">
                  <c:v>169.6</c:v>
                </c:pt>
                <c:pt idx="2">
                  <c:v>4.5</c:v>
                </c:pt>
                <c:pt idx="4">
                  <c:v>7.300000000000011</c:v>
                </c:pt>
              </c:numCache>
            </c:numRef>
          </c:val>
          <c:shape val="box"/>
        </c:ser>
        <c:shape val="box"/>
        <c:axId val="45340838"/>
        <c:axId val="12633503"/>
      </c:bar3DChart>
      <c:catAx>
        <c:axId val="4534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33503"/>
        <c:crosses val="autoZero"/>
        <c:auto val="1"/>
        <c:lblOffset val="100"/>
        <c:tickLblSkip val="1"/>
        <c:noMultiLvlLbl val="0"/>
      </c:catAx>
      <c:valAx>
        <c:axId val="12633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408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2618.9</c:v>
                </c:pt>
              </c:numCache>
            </c:numRef>
          </c:val>
          <c:shape val="box"/>
        </c:ser>
        <c:shape val="box"/>
        <c:axId val="63976972"/>
        <c:axId val="1339133"/>
      </c:bar3DChart>
      <c:catAx>
        <c:axId val="6397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9133"/>
        <c:crosses val="autoZero"/>
        <c:auto val="1"/>
        <c:lblOffset val="100"/>
        <c:tickLblSkip val="1"/>
        <c:noMultiLvlLbl val="0"/>
      </c:catAx>
      <c:valAx>
        <c:axId val="1339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769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19339</c:v>
                </c:pt>
                <c:pt idx="1">
                  <c:v>12615.8</c:v>
                </c:pt>
                <c:pt idx="2">
                  <c:v>2543.3999999999996</c:v>
                </c:pt>
                <c:pt idx="3">
                  <c:v>758.3</c:v>
                </c:pt>
                <c:pt idx="4">
                  <c:v>181.4</c:v>
                </c:pt>
                <c:pt idx="5">
                  <c:v>3098.2000000000003</c:v>
                </c:pt>
                <c:pt idx="6">
                  <c:v>2618.9</c:v>
                </c:pt>
              </c:numCache>
            </c:numRef>
          </c:val>
          <c:shape val="box"/>
        </c:ser>
        <c:shape val="box"/>
        <c:axId val="28121794"/>
        <c:axId val="53686763"/>
      </c:bar3DChart>
      <c:catAx>
        <c:axId val="2812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86763"/>
        <c:crosses val="autoZero"/>
        <c:auto val="1"/>
        <c:lblOffset val="100"/>
        <c:tickLblSkip val="1"/>
        <c:noMultiLvlLbl val="0"/>
      </c:catAx>
      <c:valAx>
        <c:axId val="53686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21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6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36128.59999999999</c:v>
                </c:pt>
                <c:pt idx="1">
                  <c:v>239.9</c:v>
                </c:pt>
                <c:pt idx="2">
                  <c:v>1368.1000000000001</c:v>
                </c:pt>
                <c:pt idx="3">
                  <c:v>242.2</c:v>
                </c:pt>
                <c:pt idx="4">
                  <c:v>15</c:v>
                </c:pt>
                <c:pt idx="5">
                  <c:v>3866.8000000000075</c:v>
                </c:pt>
              </c:numCache>
            </c:numRef>
          </c:val>
          <c:shape val="box"/>
        </c:ser>
        <c:shape val="box"/>
        <c:axId val="53680200"/>
        <c:axId val="53542377"/>
      </c:bar3DChart>
      <c:catAx>
        <c:axId val="5368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42377"/>
        <c:crosses val="autoZero"/>
        <c:auto val="1"/>
        <c:lblOffset val="100"/>
        <c:tickLblSkip val="1"/>
        <c:noMultiLvlLbl val="0"/>
      </c:catAx>
      <c:valAx>
        <c:axId val="53542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02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7" sqref="D147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51</v>
      </c>
      <c r="B3" s="119" t="s">
        <v>107</v>
      </c>
      <c r="C3" s="119" t="s">
        <v>104</v>
      </c>
      <c r="D3" s="119" t="s">
        <v>30</v>
      </c>
      <c r="E3" s="119" t="s">
        <v>29</v>
      </c>
      <c r="F3" s="119" t="s">
        <v>108</v>
      </c>
      <c r="G3" s="119" t="s">
        <v>105</v>
      </c>
      <c r="H3" s="119" t="s">
        <v>109</v>
      </c>
      <c r="I3" s="119" t="s">
        <v>106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54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35</v>
      </c>
      <c r="B6" s="55">
        <v>46702.3</v>
      </c>
      <c r="C6" s="56">
        <f>139031.6+971.7</f>
        <v>140003.30000000002</v>
      </c>
      <c r="D6" s="57">
        <f>7985.1+539+415.1+9890.7+509.1</f>
        <v>19339</v>
      </c>
      <c r="E6" s="3">
        <f>D6/D134*100</f>
        <v>42.56307209465601</v>
      </c>
      <c r="F6" s="3">
        <f>D6/B6*100</f>
        <v>41.40909548352008</v>
      </c>
      <c r="G6" s="3">
        <f aca="true" t="shared" si="0" ref="G6:G41">D6/C6*100</f>
        <v>13.813245830633992</v>
      </c>
      <c r="H6" s="3">
        <f>B6-D6</f>
        <v>27363.300000000003</v>
      </c>
      <c r="I6" s="3">
        <f aca="true" t="shared" si="1" ref="I6:I41">C6-D6</f>
        <v>120664.30000000002</v>
      </c>
    </row>
    <row r="7" spans="1:9" ht="18">
      <c r="A7" s="31" t="s">
        <v>3</v>
      </c>
      <c r="B7" s="52">
        <v>37188</v>
      </c>
      <c r="C7" s="53">
        <f>110781+795-0.1</f>
        <v>111575.9</v>
      </c>
      <c r="D7" s="54">
        <f>7985.1+61.4+9890.7</f>
        <v>17937.2</v>
      </c>
      <c r="E7" s="1">
        <f>D7/D6*100</f>
        <v>92.75143492424634</v>
      </c>
      <c r="F7" s="1">
        <f>D7/B7*100</f>
        <v>48.23383887275465</v>
      </c>
      <c r="G7" s="1">
        <f t="shared" si="0"/>
        <v>16.07623151594565</v>
      </c>
      <c r="H7" s="1">
        <f>B7-D7</f>
        <v>19250.8</v>
      </c>
      <c r="I7" s="1">
        <f t="shared" si="1"/>
        <v>93638.7</v>
      </c>
    </row>
    <row r="8" spans="1:9" ht="18">
      <c r="A8" s="31" t="s">
        <v>2</v>
      </c>
      <c r="B8" s="52">
        <v>3</v>
      </c>
      <c r="C8" s="53">
        <v>7.6</v>
      </c>
      <c r="D8" s="54"/>
      <c r="E8" s="13">
        <f>D8/D6*100</f>
        <v>0</v>
      </c>
      <c r="F8" s="1">
        <f>D8/B8*100</f>
        <v>0</v>
      </c>
      <c r="G8" s="1">
        <f t="shared" si="0"/>
        <v>0</v>
      </c>
      <c r="H8" s="1">
        <f aca="true" t="shared" si="2" ref="H8:H30">B8-D8</f>
        <v>3</v>
      </c>
      <c r="I8" s="1">
        <f t="shared" si="1"/>
        <v>7.6</v>
      </c>
    </row>
    <row r="9" spans="1:9" ht="18">
      <c r="A9" s="31" t="s">
        <v>1</v>
      </c>
      <c r="B9" s="52">
        <v>2999.1</v>
      </c>
      <c r="C9" s="53">
        <v>8641.5</v>
      </c>
      <c r="D9" s="58">
        <f>538.7+346.9+429.4</f>
        <v>1315</v>
      </c>
      <c r="E9" s="1">
        <f>D9/D6*100</f>
        <v>6.799731113294379</v>
      </c>
      <c r="F9" s="1">
        <f aca="true" t="shared" si="3" ref="F9:F39">D9/B9*100</f>
        <v>43.84648727951719</v>
      </c>
      <c r="G9" s="1">
        <f t="shared" si="0"/>
        <v>15.217265521032228</v>
      </c>
      <c r="H9" s="1">
        <f t="shared" si="2"/>
        <v>1684.1</v>
      </c>
      <c r="I9" s="1">
        <f t="shared" si="1"/>
        <v>7326.5</v>
      </c>
    </row>
    <row r="10" spans="1:9" ht="18">
      <c r="A10" s="31" t="s">
        <v>0</v>
      </c>
      <c r="B10" s="52">
        <v>6344.3</v>
      </c>
      <c r="C10" s="53">
        <f>18870.2+144.6</f>
        <v>19014.8</v>
      </c>
      <c r="D10" s="59">
        <f>1.1+76.7</f>
        <v>77.8</v>
      </c>
      <c r="E10" s="1">
        <f>D10/D6*100</f>
        <v>0.4022958787941466</v>
      </c>
      <c r="F10" s="1">
        <f t="shared" si="3"/>
        <v>1.226297621487004</v>
      </c>
      <c r="G10" s="1">
        <f t="shared" si="0"/>
        <v>0.4091549740202369</v>
      </c>
      <c r="H10" s="1">
        <f t="shared" si="2"/>
        <v>6266.5</v>
      </c>
      <c r="I10" s="1">
        <f t="shared" si="1"/>
        <v>18937</v>
      </c>
    </row>
    <row r="11" spans="1:9" ht="18">
      <c r="A11" s="31" t="s">
        <v>15</v>
      </c>
      <c r="B11" s="52">
        <v>20.7</v>
      </c>
      <c r="C11" s="53">
        <v>232.9</v>
      </c>
      <c r="D11" s="54">
        <f>4</f>
        <v>4</v>
      </c>
      <c r="E11" s="1">
        <f>D11/D6*100</f>
        <v>0.02068359274005895</v>
      </c>
      <c r="F11" s="1">
        <f t="shared" si="3"/>
        <v>19.32367149758454</v>
      </c>
      <c r="G11" s="1">
        <f t="shared" si="0"/>
        <v>1.7174753112924002</v>
      </c>
      <c r="H11" s="1">
        <f t="shared" si="2"/>
        <v>16.7</v>
      </c>
      <c r="I11" s="1">
        <f t="shared" si="1"/>
        <v>228.9</v>
      </c>
    </row>
    <row r="12" spans="1:9" ht="18.75" thickBot="1">
      <c r="A12" s="31" t="s">
        <v>36</v>
      </c>
      <c r="B12" s="53">
        <f>B6-B7-B8-B9-B10-B11</f>
        <v>147.20000000000238</v>
      </c>
      <c r="C12" s="53">
        <f>C6-C7-C8-C9-C10-C11</f>
        <v>530.6000000000255</v>
      </c>
      <c r="D12" s="53">
        <f>D6-D7-D8-D9-D10-D11</f>
        <v>4.999999999999275</v>
      </c>
      <c r="E12" s="1">
        <f>D12/D6*100</f>
        <v>0.02585449092506994</v>
      </c>
      <c r="F12" s="1">
        <f t="shared" si="3"/>
        <v>3.3967391304342356</v>
      </c>
      <c r="G12" s="1">
        <f t="shared" si="0"/>
        <v>0.9423294383714729</v>
      </c>
      <c r="H12" s="1">
        <f t="shared" si="2"/>
        <v>142.20000000000312</v>
      </c>
      <c r="I12" s="1">
        <f t="shared" si="1"/>
        <v>525.6000000000262</v>
      </c>
    </row>
    <row r="13" spans="1:9" s="47" customFormat="1" ht="18.75" customHeight="1" hidden="1">
      <c r="A13" s="114" t="s">
        <v>87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84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85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86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24</v>
      </c>
      <c r="B17" s="55">
        <v>32143.3</v>
      </c>
      <c r="C17" s="56">
        <v>96430</v>
      </c>
      <c r="D17" s="57">
        <f>5329.2+6976.4+310.1+0.1+574.9</f>
        <v>13190.699999999999</v>
      </c>
      <c r="E17" s="3">
        <f>D17/D134*100</f>
        <v>29.031320910025283</v>
      </c>
      <c r="F17" s="3">
        <f>D17/B17*100</f>
        <v>41.03716793235293</v>
      </c>
      <c r="G17" s="3">
        <f t="shared" si="0"/>
        <v>13.67904179197345</v>
      </c>
      <c r="H17" s="3">
        <f>B17-D17</f>
        <v>18952.6</v>
      </c>
      <c r="I17" s="3">
        <f t="shared" si="1"/>
        <v>83239.3</v>
      </c>
    </row>
    <row r="18" spans="1:9" ht="18">
      <c r="A18" s="31" t="s">
        <v>5</v>
      </c>
      <c r="B18" s="52">
        <v>24576.8</v>
      </c>
      <c r="C18" s="53">
        <v>75362.8</v>
      </c>
      <c r="D18" s="54">
        <f>5127.2+6545.1+310.1+0.1</f>
        <v>11982.5</v>
      </c>
      <c r="E18" s="1">
        <f>D18/D17*100</f>
        <v>90.84051642445057</v>
      </c>
      <c r="F18" s="1">
        <f t="shared" si="3"/>
        <v>48.75533023013574</v>
      </c>
      <c r="G18" s="1">
        <f t="shared" si="0"/>
        <v>15.899754255415138</v>
      </c>
      <c r="H18" s="1">
        <f t="shared" si="2"/>
        <v>12594.3</v>
      </c>
      <c r="I18" s="1">
        <f t="shared" si="1"/>
        <v>63380.3</v>
      </c>
    </row>
    <row r="19" spans="1:9" ht="18">
      <c r="A19" s="31" t="s">
        <v>2</v>
      </c>
      <c r="B19" s="52">
        <v>1049.9</v>
      </c>
      <c r="C19" s="53">
        <v>3430.8</v>
      </c>
      <c r="D19" s="54">
        <f>15+99.7</f>
        <v>114.7</v>
      </c>
      <c r="E19" s="1">
        <f>D19/D17*100</f>
        <v>0.8695520328716445</v>
      </c>
      <c r="F19" s="1">
        <f t="shared" si="3"/>
        <v>10.924849985712925</v>
      </c>
      <c r="G19" s="1">
        <f t="shared" si="0"/>
        <v>3.3432435583537368</v>
      </c>
      <c r="H19" s="1">
        <f t="shared" si="2"/>
        <v>935.2</v>
      </c>
      <c r="I19" s="1">
        <f t="shared" si="1"/>
        <v>3316.1000000000004</v>
      </c>
    </row>
    <row r="20" spans="1:9" ht="18">
      <c r="A20" s="31" t="s">
        <v>1</v>
      </c>
      <c r="B20" s="52">
        <v>435.6</v>
      </c>
      <c r="C20" s="53">
        <v>1299.7</v>
      </c>
      <c r="D20" s="54">
        <f>50.7+162.6</f>
        <v>213.3</v>
      </c>
      <c r="E20" s="1">
        <f>D20/D17*100</f>
        <v>1.6170483749914717</v>
      </c>
      <c r="F20" s="1">
        <f t="shared" si="3"/>
        <v>48.96694214876033</v>
      </c>
      <c r="G20" s="1">
        <f t="shared" si="0"/>
        <v>16.41147957220897</v>
      </c>
      <c r="H20" s="1">
        <f t="shared" si="2"/>
        <v>222.3</v>
      </c>
      <c r="I20" s="1">
        <f t="shared" si="1"/>
        <v>1086.4</v>
      </c>
    </row>
    <row r="21" spans="1:9" ht="18">
      <c r="A21" s="31" t="s">
        <v>0</v>
      </c>
      <c r="B21" s="52">
        <v>3808.6</v>
      </c>
      <c r="C21" s="53">
        <v>9811.5</v>
      </c>
      <c r="D21" s="54">
        <f>36.6</f>
        <v>36.6</v>
      </c>
      <c r="E21" s="1">
        <f>D21/D17*100</f>
        <v>0.27746821624326234</v>
      </c>
      <c r="F21" s="1">
        <f t="shared" si="3"/>
        <v>0.9609830383868088</v>
      </c>
      <c r="G21" s="1">
        <f t="shared" si="0"/>
        <v>0.3730316465372267</v>
      </c>
      <c r="H21" s="1">
        <f t="shared" si="2"/>
        <v>3772</v>
      </c>
      <c r="I21" s="1">
        <f t="shared" si="1"/>
        <v>9774.9</v>
      </c>
    </row>
    <row r="22" spans="1:9" ht="18">
      <c r="A22" s="31" t="s">
        <v>15</v>
      </c>
      <c r="B22" s="52">
        <v>227.5</v>
      </c>
      <c r="C22" s="53">
        <v>682.5</v>
      </c>
      <c r="D22" s="54">
        <f>14.2+80.1</f>
        <v>94.3</v>
      </c>
      <c r="E22" s="1">
        <f>D22/D17*100</f>
        <v>0.7148976172606458</v>
      </c>
      <c r="F22" s="1">
        <f t="shared" si="3"/>
        <v>41.45054945054945</v>
      </c>
      <c r="G22" s="1">
        <f t="shared" si="0"/>
        <v>13.816849816849816</v>
      </c>
      <c r="H22" s="1">
        <f t="shared" si="2"/>
        <v>133.2</v>
      </c>
      <c r="I22" s="1">
        <f t="shared" si="1"/>
        <v>588.2</v>
      </c>
    </row>
    <row r="23" spans="1:9" ht="18.75" thickBot="1">
      <c r="A23" s="31" t="s">
        <v>36</v>
      </c>
      <c r="B23" s="53">
        <f>B17-B18-B19-B20-B21-B22</f>
        <v>2044.9</v>
      </c>
      <c r="C23" s="53">
        <f>C17-C18-C19-C20-C21-C22</f>
        <v>5842.699999999997</v>
      </c>
      <c r="D23" s="53">
        <f>D17-D18-D19-D20-D21-D22</f>
        <v>749.2999999999989</v>
      </c>
      <c r="E23" s="1">
        <f>D23/D17*100</f>
        <v>5.680517334182409</v>
      </c>
      <c r="F23" s="1">
        <f t="shared" si="3"/>
        <v>36.64237860042051</v>
      </c>
      <c r="G23" s="1">
        <f t="shared" si="0"/>
        <v>12.824550293528663</v>
      </c>
      <c r="H23" s="1">
        <f t="shared" si="2"/>
        <v>1295.6000000000013</v>
      </c>
      <c r="I23" s="1">
        <f t="shared" si="1"/>
        <v>5093.399999999998</v>
      </c>
    </row>
    <row r="24" spans="1:9" ht="56.25" hidden="1">
      <c r="A24" s="114" t="s">
        <v>95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96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97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98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99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100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101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6141.2</v>
      </c>
      <c r="C31" s="56">
        <v>18423.5</v>
      </c>
      <c r="D31" s="60">
        <f>1347.1+62.9+5.5+1121.1+3+1.1+2.6+0.1+234</f>
        <v>2777.3999999999996</v>
      </c>
      <c r="E31" s="3">
        <f>D31/D134*100</f>
        <v>6.1127605582345295</v>
      </c>
      <c r="F31" s="3">
        <f>D31/B31*100</f>
        <v>45.2256887904644</v>
      </c>
      <c r="G31" s="3">
        <f t="shared" si="0"/>
        <v>15.075311422910953</v>
      </c>
      <c r="H31" s="3">
        <f aca="true" t="shared" si="4" ref="H31:H41">B31-D31</f>
        <v>3363.8</v>
      </c>
      <c r="I31" s="3">
        <f t="shared" si="1"/>
        <v>15646.1</v>
      </c>
    </row>
    <row r="32" spans="1:9" ht="18">
      <c r="A32" s="31" t="s">
        <v>3</v>
      </c>
      <c r="B32" s="52">
        <v>4538.9</v>
      </c>
      <c r="C32" s="53">
        <v>13955.3</v>
      </c>
      <c r="D32" s="54">
        <f>1119.5+1121.1</f>
        <v>2240.6</v>
      </c>
      <c r="E32" s="1">
        <f>D32/D31*100</f>
        <v>80.67257146971988</v>
      </c>
      <c r="F32" s="1">
        <f t="shared" si="3"/>
        <v>49.36438344092181</v>
      </c>
      <c r="G32" s="1">
        <f t="shared" si="0"/>
        <v>16.0555487879157</v>
      </c>
      <c r="H32" s="1">
        <f t="shared" si="4"/>
        <v>2298.2999999999997</v>
      </c>
      <c r="I32" s="1">
        <f t="shared" si="1"/>
        <v>11714.699999999999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496.8</v>
      </c>
      <c r="C34" s="53">
        <v>968.7</v>
      </c>
      <c r="D34" s="54">
        <f>1+2.5+0.8</f>
        <v>4.3</v>
      </c>
      <c r="E34" s="1">
        <f>D34/D31*100</f>
        <v>0.15482105566357027</v>
      </c>
      <c r="F34" s="1">
        <f t="shared" si="3"/>
        <v>0.8655394524959743</v>
      </c>
      <c r="G34" s="1">
        <f t="shared" si="0"/>
        <v>0.4438938783937235</v>
      </c>
      <c r="H34" s="1">
        <f t="shared" si="4"/>
        <v>492.5</v>
      </c>
      <c r="I34" s="1">
        <f t="shared" si="1"/>
        <v>964.4000000000001</v>
      </c>
    </row>
    <row r="35" spans="1:9" s="47" customFormat="1" ht="18.75">
      <c r="A35" s="25" t="s">
        <v>7</v>
      </c>
      <c r="B35" s="61">
        <v>116.2</v>
      </c>
      <c r="C35" s="62">
        <v>348.6</v>
      </c>
      <c r="D35" s="63">
        <f>38.5+5.5+3</f>
        <v>47</v>
      </c>
      <c r="E35" s="21">
        <f>D35/D31*100</f>
        <v>1.692230143299489</v>
      </c>
      <c r="F35" s="21">
        <f t="shared" si="3"/>
        <v>40.44750430292599</v>
      </c>
      <c r="G35" s="21">
        <f t="shared" si="0"/>
        <v>13.482501434308663</v>
      </c>
      <c r="H35" s="21">
        <f t="shared" si="4"/>
        <v>69.2</v>
      </c>
      <c r="I35" s="21">
        <f t="shared" si="1"/>
        <v>301.6</v>
      </c>
    </row>
    <row r="36" spans="1:9" ht="18">
      <c r="A36" s="31" t="s">
        <v>15</v>
      </c>
      <c r="B36" s="52">
        <v>4.8</v>
      </c>
      <c r="C36" s="53">
        <v>12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4.8</v>
      </c>
      <c r="I36" s="1">
        <f t="shared" si="1"/>
        <v>12</v>
      </c>
    </row>
    <row r="37" spans="1:9" ht="18.75" thickBot="1">
      <c r="A37" s="31" t="s">
        <v>36</v>
      </c>
      <c r="B37" s="52">
        <f>B31-B32-B34-B35-B33-B36</f>
        <v>984.5000000000002</v>
      </c>
      <c r="C37" s="52">
        <f>C31-C32-C34-C35-C33-C36</f>
        <v>3138.900000000001</v>
      </c>
      <c r="D37" s="52">
        <f>D31-D32-D34-D35-D33-D36</f>
        <v>485.4999999999998</v>
      </c>
      <c r="E37" s="1">
        <f>D37/D31*100</f>
        <v>17.480377331317055</v>
      </c>
      <c r="F37" s="1">
        <f t="shared" si="3"/>
        <v>49.3143727780599</v>
      </c>
      <c r="G37" s="1">
        <f t="shared" si="0"/>
        <v>15.467201886011011</v>
      </c>
      <c r="H37" s="1">
        <f>B37-D37</f>
        <v>499.00000000000045</v>
      </c>
      <c r="I37" s="1">
        <f t="shared" si="1"/>
        <v>2653.4000000000015</v>
      </c>
    </row>
    <row r="38" spans="1:9" s="116" customFormat="1" ht="18.75" hidden="1">
      <c r="A38" s="114" t="s">
        <v>92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93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94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172.4</v>
      </c>
      <c r="C41" s="56">
        <v>517.2</v>
      </c>
      <c r="D41" s="57"/>
      <c r="E41" s="3">
        <f>D41/D134*100</f>
        <v>0</v>
      </c>
      <c r="F41" s="3">
        <f>D41/B41*100</f>
        <v>0</v>
      </c>
      <c r="G41" s="3">
        <f t="shared" si="0"/>
        <v>0</v>
      </c>
      <c r="H41" s="3">
        <f t="shared" si="4"/>
        <v>172.4</v>
      </c>
      <c r="I41" s="3">
        <f t="shared" si="1"/>
        <v>517.2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56</v>
      </c>
      <c r="B43" s="55">
        <v>916.6</v>
      </c>
      <c r="C43" s="56">
        <v>2749.7</v>
      </c>
      <c r="D43" s="57">
        <f>179.7+225.2</f>
        <v>404.9</v>
      </c>
      <c r="E43" s="3">
        <f>D43/D134*100</f>
        <v>0.8911416252715351</v>
      </c>
      <c r="F43" s="3">
        <f>D43/B43*100</f>
        <v>44.174121754309404</v>
      </c>
      <c r="G43" s="3">
        <f aca="true" t="shared" si="5" ref="G43:G73">D43/C43*100</f>
        <v>14.725242753754955</v>
      </c>
      <c r="H43" s="3">
        <f>B43-D43</f>
        <v>511.70000000000005</v>
      </c>
      <c r="I43" s="3">
        <f aca="true" t="shared" si="6" ref="I43:I74">C43-D43</f>
        <v>2344.7999999999997</v>
      </c>
    </row>
    <row r="44" spans="1:9" ht="18">
      <c r="A44" s="31" t="s">
        <v>3</v>
      </c>
      <c r="B44" s="52">
        <v>786</v>
      </c>
      <c r="C44" s="53">
        <v>2363</v>
      </c>
      <c r="D44" s="54">
        <f>179.7+201.3</f>
        <v>381</v>
      </c>
      <c r="E44" s="1">
        <f>D44/D43*100</f>
        <v>94.09730797727835</v>
      </c>
      <c r="F44" s="1">
        <f aca="true" t="shared" si="7" ref="F44:F71">D44/B44*100</f>
        <v>48.473282442748086</v>
      </c>
      <c r="G44" s="1">
        <f t="shared" si="5"/>
        <v>16.123571730850614</v>
      </c>
      <c r="H44" s="1">
        <f aca="true" t="shared" si="8" ref="H44:H71">B44-D44</f>
        <v>405</v>
      </c>
      <c r="I44" s="1">
        <f t="shared" si="6"/>
        <v>1982</v>
      </c>
    </row>
    <row r="45" spans="1:9" ht="18" hidden="1">
      <c r="A45" s="31" t="s">
        <v>2</v>
      </c>
      <c r="B45" s="52"/>
      <c r="C45" s="53"/>
      <c r="D45" s="54"/>
      <c r="E45" s="1">
        <f>D45/D43*100</f>
        <v>0</v>
      </c>
      <c r="F45" s="1" t="e">
        <f t="shared" si="7"/>
        <v>#DIV/0!</v>
      </c>
      <c r="G45" s="1" t="e">
        <f t="shared" si="5"/>
        <v>#DIV/0!</v>
      </c>
      <c r="H45" s="1">
        <f t="shared" si="8"/>
        <v>0</v>
      </c>
      <c r="I45" s="1">
        <f t="shared" si="6"/>
        <v>0</v>
      </c>
    </row>
    <row r="46" spans="1:9" ht="18">
      <c r="A46" s="31" t="s">
        <v>1</v>
      </c>
      <c r="B46" s="52">
        <v>7.3</v>
      </c>
      <c r="C46" s="53">
        <v>22.9</v>
      </c>
      <c r="D46" s="54"/>
      <c r="E46" s="1">
        <f>D46/D43*100</f>
        <v>0</v>
      </c>
      <c r="F46" s="1">
        <f t="shared" si="7"/>
        <v>0</v>
      </c>
      <c r="G46" s="1">
        <f t="shared" si="5"/>
        <v>0</v>
      </c>
      <c r="H46" s="1">
        <f t="shared" si="8"/>
        <v>7.3</v>
      </c>
      <c r="I46" s="1">
        <f t="shared" si="6"/>
        <v>22.9</v>
      </c>
    </row>
    <row r="47" spans="1:9" ht="18">
      <c r="A47" s="31" t="s">
        <v>0</v>
      </c>
      <c r="B47" s="52">
        <v>96.2</v>
      </c>
      <c r="C47" s="53">
        <v>229.5</v>
      </c>
      <c r="D47" s="54">
        <f>23.1</f>
        <v>23.1</v>
      </c>
      <c r="E47" s="1">
        <f>D47/D43*100</f>
        <v>5.705112373425538</v>
      </c>
      <c r="F47" s="1">
        <f t="shared" si="7"/>
        <v>24.012474012474012</v>
      </c>
      <c r="G47" s="1">
        <f t="shared" si="5"/>
        <v>10.065359477124183</v>
      </c>
      <c r="H47" s="1">
        <f t="shared" si="8"/>
        <v>73.1</v>
      </c>
      <c r="I47" s="1">
        <f t="shared" si="6"/>
        <v>206.4</v>
      </c>
    </row>
    <row r="48" spans="1:9" ht="18.75" thickBot="1">
      <c r="A48" s="31" t="s">
        <v>36</v>
      </c>
      <c r="B48" s="53">
        <f>B43-B44-B47-B46-B45</f>
        <v>27.10000000000002</v>
      </c>
      <c r="C48" s="53">
        <f>C43-C44-C47-C46-C45</f>
        <v>134.2999999999998</v>
      </c>
      <c r="D48" s="53">
        <f>D43-D44-D47-D46-D45</f>
        <v>0.7999999999999758</v>
      </c>
      <c r="E48" s="1">
        <f>D48/D43*100</f>
        <v>0.19757964929611654</v>
      </c>
      <c r="F48" s="1">
        <f t="shared" si="7"/>
        <v>2.9520295202951115</v>
      </c>
      <c r="G48" s="1">
        <f t="shared" si="5"/>
        <v>0.595681310498866</v>
      </c>
      <c r="H48" s="1">
        <f t="shared" si="8"/>
        <v>26.300000000000043</v>
      </c>
      <c r="I48" s="1">
        <f t="shared" si="6"/>
        <v>133.49999999999983</v>
      </c>
    </row>
    <row r="49" spans="1:9" ht="18.75" thickBot="1">
      <c r="A49" s="30" t="s">
        <v>4</v>
      </c>
      <c r="B49" s="55">
        <v>2062.1</v>
      </c>
      <c r="C49" s="56">
        <v>6186.2</v>
      </c>
      <c r="D49" s="57">
        <f>282.8+343.5+104.6+27.4+31.1</f>
        <v>789.4</v>
      </c>
      <c r="E49" s="3">
        <f>D49/D134*100</f>
        <v>1.7373850308455168</v>
      </c>
      <c r="F49" s="3">
        <f>D49/B49*100</f>
        <v>38.281363658406484</v>
      </c>
      <c r="G49" s="3">
        <f t="shared" si="5"/>
        <v>12.760660825708836</v>
      </c>
      <c r="H49" s="3">
        <f>B49-D49</f>
        <v>1272.6999999999998</v>
      </c>
      <c r="I49" s="3">
        <f t="shared" si="6"/>
        <v>5396.8</v>
      </c>
    </row>
    <row r="50" spans="1:9" ht="18">
      <c r="A50" s="31" t="s">
        <v>3</v>
      </c>
      <c r="B50" s="52">
        <v>1287.8</v>
      </c>
      <c r="C50" s="53">
        <v>3863.4</v>
      </c>
      <c r="D50" s="54">
        <f>282.8+343.5</f>
        <v>626.3</v>
      </c>
      <c r="E50" s="1">
        <f>D50/D49*100</f>
        <v>79.33873828223967</v>
      </c>
      <c r="F50" s="1">
        <f t="shared" si="7"/>
        <v>48.63332815654605</v>
      </c>
      <c r="G50" s="1">
        <f t="shared" si="5"/>
        <v>16.21110938551535</v>
      </c>
      <c r="H50" s="1">
        <f t="shared" si="8"/>
        <v>661.5</v>
      </c>
      <c r="I50" s="1">
        <f t="shared" si="6"/>
        <v>3237.1000000000004</v>
      </c>
    </row>
    <row r="51" spans="1:9" ht="18" hidden="1">
      <c r="A51" s="31" t="s">
        <v>2</v>
      </c>
      <c r="B51" s="52"/>
      <c r="C51" s="53"/>
      <c r="D51" s="54"/>
      <c r="E51" s="13">
        <f>D51/D49*100</f>
        <v>0</v>
      </c>
      <c r="F51" s="1" t="e">
        <f>D51/B51*100</f>
        <v>#DIV/0!</v>
      </c>
      <c r="G51" s="1" t="e">
        <f t="shared" si="5"/>
        <v>#DIV/0!</v>
      </c>
      <c r="H51" s="1">
        <f t="shared" si="8"/>
        <v>0</v>
      </c>
      <c r="I51" s="1">
        <f t="shared" si="6"/>
        <v>0</v>
      </c>
    </row>
    <row r="52" spans="1:9" ht="18">
      <c r="A52" s="31" t="s">
        <v>1</v>
      </c>
      <c r="B52" s="52">
        <v>45.3</v>
      </c>
      <c r="C52" s="53">
        <v>156.7</v>
      </c>
      <c r="D52" s="54">
        <f>2.4</f>
        <v>2.4</v>
      </c>
      <c r="E52" s="1">
        <f>D52/D49*100</f>
        <v>0.3040283759817583</v>
      </c>
      <c r="F52" s="1">
        <f t="shared" si="7"/>
        <v>5.298013245033113</v>
      </c>
      <c r="G52" s="1">
        <f t="shared" si="5"/>
        <v>1.5315890236119976</v>
      </c>
      <c r="H52" s="1">
        <f t="shared" si="8"/>
        <v>42.9</v>
      </c>
      <c r="I52" s="1">
        <f t="shared" si="6"/>
        <v>154.29999999999998</v>
      </c>
    </row>
    <row r="53" spans="1:9" ht="18">
      <c r="A53" s="31" t="s">
        <v>0</v>
      </c>
      <c r="B53" s="52">
        <v>136.9</v>
      </c>
      <c r="C53" s="53">
        <v>288.6</v>
      </c>
      <c r="D53" s="54">
        <f>6</f>
        <v>6</v>
      </c>
      <c r="E53" s="1">
        <f>D53/D49*100</f>
        <v>0.7600709399543958</v>
      </c>
      <c r="F53" s="1">
        <f t="shared" si="7"/>
        <v>4.382761139517896</v>
      </c>
      <c r="G53" s="1">
        <f t="shared" si="5"/>
        <v>2.0790020790020787</v>
      </c>
      <c r="H53" s="1">
        <f t="shared" si="8"/>
        <v>130.9</v>
      </c>
      <c r="I53" s="1">
        <f t="shared" si="6"/>
        <v>282.6</v>
      </c>
    </row>
    <row r="54" spans="1:9" ht="18.75" thickBot="1">
      <c r="A54" s="31" t="s">
        <v>36</v>
      </c>
      <c r="B54" s="53">
        <f>B49-B50-B53-B52-B51</f>
        <v>592.1</v>
      </c>
      <c r="C54" s="53">
        <f>C49-C50-C53-C52-C51</f>
        <v>1877.4999999999998</v>
      </c>
      <c r="D54" s="53">
        <f>D49-D50-D53-D52-D51</f>
        <v>154.70000000000002</v>
      </c>
      <c r="E54" s="1">
        <f>D54/D49*100</f>
        <v>19.59716240182417</v>
      </c>
      <c r="F54" s="1">
        <f t="shared" si="7"/>
        <v>26.127343354163152</v>
      </c>
      <c r="G54" s="1">
        <f t="shared" si="5"/>
        <v>8.239680426098538</v>
      </c>
      <c r="H54" s="1">
        <f t="shared" si="8"/>
        <v>437.4</v>
      </c>
      <c r="I54" s="1">
        <f>C54-D54</f>
        <v>1722.7999999999997</v>
      </c>
    </row>
    <row r="55" spans="1:9" s="47" customFormat="1" ht="19.5" hidden="1" thickBot="1">
      <c r="A55" s="114" t="s">
        <v>91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396.7</v>
      </c>
      <c r="C56" s="56">
        <f>2265.7-971.7</f>
        <v>1293.9999999999998</v>
      </c>
      <c r="D56" s="57">
        <f>128-60.9+102.5+11.8</f>
        <v>181.4</v>
      </c>
      <c r="E56" s="3">
        <f>D56/D134*100</f>
        <v>0.3992420124086354</v>
      </c>
      <c r="F56" s="3">
        <f>D56/B56*100</f>
        <v>45.727249810940265</v>
      </c>
      <c r="G56" s="3">
        <f t="shared" si="5"/>
        <v>14.018547140649154</v>
      </c>
      <c r="H56" s="3">
        <f>B56-D56</f>
        <v>215.29999999999998</v>
      </c>
      <c r="I56" s="3">
        <f t="shared" si="6"/>
        <v>1112.5999999999997</v>
      </c>
    </row>
    <row r="57" spans="1:9" ht="18">
      <c r="A57" s="31" t="s">
        <v>3</v>
      </c>
      <c r="B57" s="52">
        <v>278.6</v>
      </c>
      <c r="C57" s="53">
        <f>1451.2-795</f>
        <v>656.2</v>
      </c>
      <c r="D57" s="54">
        <f>128-60.9+102.5</f>
        <v>169.6</v>
      </c>
      <c r="E57" s="1">
        <f>D57/D56*100</f>
        <v>93.49503858875413</v>
      </c>
      <c r="F57" s="1">
        <f t="shared" si="7"/>
        <v>60.87580760947594</v>
      </c>
      <c r="G57" s="1">
        <f t="shared" si="5"/>
        <v>25.84577872599817</v>
      </c>
      <c r="H57" s="1">
        <f t="shared" si="8"/>
        <v>109.00000000000003</v>
      </c>
      <c r="I57" s="1">
        <f t="shared" si="6"/>
        <v>486.6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75.3</v>
      </c>
      <c r="C59" s="53">
        <f>284.4-144.7</f>
        <v>139.7</v>
      </c>
      <c r="D59" s="54">
        <f>4.5</f>
        <v>4.5</v>
      </c>
      <c r="E59" s="1">
        <f>D59/D56*100</f>
        <v>2.4807056229327453</v>
      </c>
      <c r="F59" s="1">
        <f t="shared" si="7"/>
        <v>5.9760956175298805</v>
      </c>
      <c r="G59" s="1">
        <f t="shared" si="5"/>
        <v>3.2211882605583395</v>
      </c>
      <c r="H59" s="1">
        <f t="shared" si="8"/>
        <v>70.8</v>
      </c>
      <c r="I59" s="1">
        <f t="shared" si="6"/>
        <v>135.2</v>
      </c>
    </row>
    <row r="60" spans="1:9" ht="18">
      <c r="A60" s="31" t="s">
        <v>15</v>
      </c>
      <c r="B60" s="52">
        <v>17.9</v>
      </c>
      <c r="C60" s="53">
        <v>439.5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17.9</v>
      </c>
      <c r="I60" s="1">
        <f t="shared" si="6"/>
        <v>439.5</v>
      </c>
    </row>
    <row r="61" spans="1:9" ht="18.75" thickBot="1">
      <c r="A61" s="31" t="s">
        <v>36</v>
      </c>
      <c r="B61" s="53">
        <f>B56-B57-B59-B60-B58</f>
        <v>24.89999999999997</v>
      </c>
      <c r="C61" s="53">
        <f>C56-C57-C59-C60-C58</f>
        <v>58.59999999999974</v>
      </c>
      <c r="D61" s="53">
        <f>D56-D57-D59-D60-D58</f>
        <v>7.300000000000011</v>
      </c>
      <c r="E61" s="1">
        <f>D61/D56*100</f>
        <v>4.024255788313126</v>
      </c>
      <c r="F61" s="1">
        <f t="shared" si="7"/>
        <v>29.3172690763053</v>
      </c>
      <c r="G61" s="1">
        <f t="shared" si="5"/>
        <v>12.457337883959118</v>
      </c>
      <c r="H61" s="1">
        <f t="shared" si="8"/>
        <v>17.59999999999996</v>
      </c>
      <c r="I61" s="1">
        <f t="shared" si="6"/>
        <v>51.29999999999973</v>
      </c>
    </row>
    <row r="62" spans="1:9" s="47" customFormat="1" ht="18.75" hidden="1">
      <c r="A62" s="114" t="s">
        <v>102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88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89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90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25</v>
      </c>
      <c r="B66" s="56">
        <f>B67+B68</f>
        <v>65.8</v>
      </c>
      <c r="C66" s="56">
        <f>C67+C68</f>
        <v>197.4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65.8</v>
      </c>
      <c r="I66" s="3">
        <f t="shared" si="6"/>
        <v>197.4</v>
      </c>
    </row>
    <row r="67" spans="1:9" ht="18">
      <c r="A67" s="31" t="s">
        <v>8</v>
      </c>
      <c r="B67" s="52">
        <f>22.9+22.9</f>
        <v>45.8</v>
      </c>
      <c r="C67" s="53">
        <v>137.4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45.8</v>
      </c>
      <c r="I67" s="1">
        <f t="shared" si="6"/>
        <v>137.4</v>
      </c>
    </row>
    <row r="68" spans="1:9" ht="18.75" thickBot="1">
      <c r="A68" s="31" t="s">
        <v>9</v>
      </c>
      <c r="B68" s="52">
        <f>10+10</f>
        <v>20</v>
      </c>
      <c r="C68" s="53">
        <v>60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20</v>
      </c>
      <c r="I68" s="1">
        <f t="shared" si="6"/>
        <v>60</v>
      </c>
    </row>
    <row r="69" spans="1:9" ht="38.25" hidden="1" thickBot="1">
      <c r="A69" s="15" t="s">
        <v>52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58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59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43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53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66.7</v>
      </c>
      <c r="C74" s="72">
        <v>200</v>
      </c>
      <c r="D74" s="73"/>
      <c r="E74" s="51"/>
      <c r="F74" s="51"/>
      <c r="G74" s="51"/>
      <c r="H74" s="51">
        <f>B74-D74</f>
        <v>66.7</v>
      </c>
      <c r="I74" s="51">
        <f t="shared" si="6"/>
        <v>200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thickBot="1">
      <c r="A76" s="15" t="s">
        <v>82</v>
      </c>
      <c r="B76" s="64">
        <f>B77+B78</f>
        <v>198.5</v>
      </c>
      <c r="C76" s="56">
        <f>C77+C78</f>
        <v>595.6</v>
      </c>
      <c r="D76" s="56">
        <f>D77+D78</f>
        <v>0</v>
      </c>
      <c r="E76" s="3">
        <f>D76/D134*100</f>
        <v>0</v>
      </c>
      <c r="F76" s="3">
        <f>D76/B76*100</f>
        <v>0</v>
      </c>
      <c r="G76" s="3">
        <f aca="true" t="shared" si="9" ref="G76:G90">D76/C76*100</f>
        <v>0</v>
      </c>
      <c r="H76" s="3">
        <f>B76-D76</f>
        <v>198.5</v>
      </c>
      <c r="I76" s="3">
        <f aca="true" t="shared" si="10" ref="I76:I90">C76-D76</f>
        <v>595.6</v>
      </c>
    </row>
    <row r="77" spans="1:9" s="8" customFormat="1" ht="18" hidden="1">
      <c r="A77" s="9" t="s">
        <v>81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thickBot="1">
      <c r="A78" s="9" t="s">
        <v>72</v>
      </c>
      <c r="B78" s="74">
        <v>198.5</v>
      </c>
      <c r="C78" s="53">
        <v>595.6</v>
      </c>
      <c r="D78" s="54"/>
      <c r="E78" s="111"/>
      <c r="F78" s="1">
        <f>D78/B78*100</f>
        <v>0</v>
      </c>
      <c r="G78" s="1">
        <f t="shared" si="9"/>
        <v>0</v>
      </c>
      <c r="H78" s="1">
        <f>B78-D78</f>
        <v>198.5</v>
      </c>
      <c r="I78" s="1">
        <f t="shared" si="10"/>
        <v>595.6</v>
      </c>
    </row>
    <row r="79" spans="1:9" s="8" customFormat="1" ht="16.5" customHeight="1" hidden="1">
      <c r="A79" s="9" t="s">
        <v>42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49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44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31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32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45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31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32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7495.8</v>
      </c>
      <c r="C87" s="56">
        <v>22487.4</v>
      </c>
      <c r="D87" s="57">
        <f>3.8+55.8+884+208.9+0.4+11.9+10.3+22.7+60.3+781.1+1004.9+29.9+24.2+11.3+0.5</f>
        <v>3110.0000000000005</v>
      </c>
      <c r="E87" s="3">
        <f>D87/D134*100</f>
        <v>6.844777610754445</v>
      </c>
      <c r="F87" s="3">
        <f aca="true" t="shared" si="11" ref="F87:F92">D87/B87*100</f>
        <v>41.48990101123296</v>
      </c>
      <c r="G87" s="3">
        <f t="shared" si="9"/>
        <v>13.82996700374432</v>
      </c>
      <c r="H87" s="3">
        <f aca="true" t="shared" si="12" ref="H87:H92">B87-D87</f>
        <v>4385.799999999999</v>
      </c>
      <c r="I87" s="3">
        <f t="shared" si="10"/>
        <v>19377.4</v>
      </c>
    </row>
    <row r="88" spans="1:9" ht="18">
      <c r="A88" s="31" t="s">
        <v>3</v>
      </c>
      <c r="B88" s="52">
        <v>6267.7</v>
      </c>
      <c r="C88" s="53">
        <v>18878.8</v>
      </c>
      <c r="D88" s="54">
        <f>3.8+55.8+877.5+206+1.6+755.1+834.4</f>
        <v>2734.2</v>
      </c>
      <c r="E88" s="1">
        <f>D88/D87*100</f>
        <v>87.91639871382635</v>
      </c>
      <c r="F88" s="1">
        <f t="shared" si="11"/>
        <v>43.623657801107264</v>
      </c>
      <c r="G88" s="1">
        <f t="shared" si="9"/>
        <v>14.48291204949467</v>
      </c>
      <c r="H88" s="1">
        <f t="shared" si="12"/>
        <v>3533.5</v>
      </c>
      <c r="I88" s="1">
        <f t="shared" si="10"/>
        <v>16144.599999999999</v>
      </c>
    </row>
    <row r="89" spans="1:9" ht="18">
      <c r="A89" s="31" t="s">
        <v>34</v>
      </c>
      <c r="B89" s="52">
        <v>507.6</v>
      </c>
      <c r="C89" s="53">
        <v>1104.3</v>
      </c>
      <c r="D89" s="54">
        <f>125</f>
        <v>125</v>
      </c>
      <c r="E89" s="1">
        <f>D89/D87*100</f>
        <v>4.019292604501607</v>
      </c>
      <c r="F89" s="1">
        <f t="shared" si="11"/>
        <v>24.62568951930654</v>
      </c>
      <c r="G89" s="1">
        <f t="shared" si="9"/>
        <v>11.319387847505208</v>
      </c>
      <c r="H89" s="1">
        <f t="shared" si="12"/>
        <v>382.6</v>
      </c>
      <c r="I89" s="1">
        <f t="shared" si="10"/>
        <v>979.3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36</v>
      </c>
      <c r="B91" s="53">
        <f>B87-B88-B89-B90</f>
        <v>720.5000000000003</v>
      </c>
      <c r="C91" s="53">
        <f>C87-C88-C89-C90</f>
        <v>2504.300000000002</v>
      </c>
      <c r="D91" s="53">
        <f>D87-D88-D89-D90</f>
        <v>250.80000000000064</v>
      </c>
      <c r="E91" s="1">
        <f>D91/D87*100</f>
        <v>8.064308681672044</v>
      </c>
      <c r="F91" s="1">
        <f t="shared" si="11"/>
        <v>34.80916030534358</v>
      </c>
      <c r="G91" s="1">
        <f>D91/C91*100</f>
        <v>10.014774587709157</v>
      </c>
      <c r="H91" s="1">
        <f t="shared" si="12"/>
        <v>469.6999999999997</v>
      </c>
      <c r="I91" s="1">
        <f>C91-D91</f>
        <v>2253.5000000000014</v>
      </c>
    </row>
    <row r="92" spans="1:9" ht="19.5" thickBot="1">
      <c r="A92" s="15" t="s">
        <v>12</v>
      </c>
      <c r="B92" s="64">
        <v>5510.7</v>
      </c>
      <c r="C92" s="75">
        <v>16532.1</v>
      </c>
      <c r="D92" s="57">
        <f>2618.9+2514.7+108.2</f>
        <v>5241.8</v>
      </c>
      <c r="E92" s="3">
        <f>D92/D134*100</f>
        <v>11.53664156914876</v>
      </c>
      <c r="F92" s="3">
        <f t="shared" si="11"/>
        <v>95.12040212677157</v>
      </c>
      <c r="G92" s="3">
        <f>D92/C92*100</f>
        <v>31.706800708923854</v>
      </c>
      <c r="H92" s="3">
        <f t="shared" si="12"/>
        <v>268.89999999999964</v>
      </c>
      <c r="I92" s="3">
        <f>C92-D92</f>
        <v>11290.3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47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69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778.3</v>
      </c>
      <c r="C98" s="110">
        <v>2334.9</v>
      </c>
      <c r="D98" s="94">
        <f>111.6+19.4+112.6-0.1+0.9+99.9</f>
        <v>344.3</v>
      </c>
      <c r="E98" s="27">
        <f>D98/D134*100</f>
        <v>0.7577675020523328</v>
      </c>
      <c r="F98" s="27">
        <f>D98/B98*100</f>
        <v>44.23744057561352</v>
      </c>
      <c r="G98" s="27">
        <f aca="true" t="shared" si="13" ref="G98:G111">D98/C98*100</f>
        <v>14.745813525204504</v>
      </c>
      <c r="H98" s="27">
        <f>B98-D98</f>
        <v>433.99999999999994</v>
      </c>
      <c r="I98" s="27">
        <f aca="true" t="shared" si="14" ref="I98:I132">C98-D98</f>
        <v>1990.6000000000001</v>
      </c>
    </row>
    <row r="99" spans="1:9" ht="18">
      <c r="A99" s="95" t="s">
        <v>67</v>
      </c>
      <c r="B99" s="105">
        <v>0</v>
      </c>
      <c r="C99" s="103">
        <v>25.5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25.5</v>
      </c>
    </row>
    <row r="100" spans="1:9" ht="18">
      <c r="A100" s="101" t="s">
        <v>66</v>
      </c>
      <c r="B100" s="85">
        <v>667.8</v>
      </c>
      <c r="C100" s="54">
        <v>2031</v>
      </c>
      <c r="D100" s="54">
        <f>111.4+112.6+0.9+99.8</f>
        <v>324.7</v>
      </c>
      <c r="E100" s="1">
        <f>D100/D98*100</f>
        <v>94.30729015393553</v>
      </c>
      <c r="F100" s="1">
        <f aca="true" t="shared" si="15" ref="F100:F132">D100/B100*100</f>
        <v>48.62234201856844</v>
      </c>
      <c r="G100" s="1">
        <f t="shared" si="13"/>
        <v>15.987198424421468</v>
      </c>
      <c r="H100" s="1">
        <f>B100-D100</f>
        <v>343.09999999999997</v>
      </c>
      <c r="I100" s="1">
        <f t="shared" si="14"/>
        <v>1706.3</v>
      </c>
    </row>
    <row r="101" spans="1:9" ht="18.75" thickBot="1">
      <c r="A101" s="102" t="s">
        <v>36</v>
      </c>
      <c r="B101" s="104">
        <f>B98-B99-B100</f>
        <v>110.5</v>
      </c>
      <c r="C101" s="104">
        <f>C98-C99-C100</f>
        <v>278.4000000000001</v>
      </c>
      <c r="D101" s="104">
        <f>D98-D99-D100</f>
        <v>19.600000000000023</v>
      </c>
      <c r="E101" s="100">
        <f>D101/D98*100</f>
        <v>5.692709846064485</v>
      </c>
      <c r="F101" s="100">
        <f t="shared" si="15"/>
        <v>17.73755656108599</v>
      </c>
      <c r="G101" s="100">
        <f t="shared" si="13"/>
        <v>7.040229885057476</v>
      </c>
      <c r="H101" s="100">
        <f>B101-D101</f>
        <v>90.89999999999998</v>
      </c>
      <c r="I101" s="100">
        <f t="shared" si="14"/>
        <v>258.80000000000007</v>
      </c>
    </row>
    <row r="102" spans="1:9" s="2" customFormat="1" ht="26.25" customHeight="1" thickBot="1">
      <c r="A102" s="96" t="s">
        <v>37</v>
      </c>
      <c r="B102" s="97">
        <f>SUM(B103:B131)-B110-B114+B132-B127-B128-B104-B107</f>
        <v>3310.8</v>
      </c>
      <c r="C102" s="97">
        <f>SUM(C103:C131)-C110-C114+C132-C127-C128-C104-C107</f>
        <v>7838.6</v>
      </c>
      <c r="D102" s="97">
        <f>SUM(D103:D131)-D110-D114+D132-D127-D128-D104-D107</f>
        <v>57.2</v>
      </c>
      <c r="E102" s="98">
        <f>D102/D134*100</f>
        <v>0.12589108660294346</v>
      </c>
      <c r="F102" s="98">
        <f>D102/B102*100</f>
        <v>1.7276791107889333</v>
      </c>
      <c r="G102" s="98">
        <f t="shared" si="13"/>
        <v>0.7297221442604547</v>
      </c>
      <c r="H102" s="98">
        <f>B102-D102</f>
        <v>3253.6000000000004</v>
      </c>
      <c r="I102" s="98">
        <f t="shared" si="14"/>
        <v>7781.400000000001</v>
      </c>
    </row>
    <row r="103" spans="1:9" ht="37.5">
      <c r="A103" s="36" t="s">
        <v>70</v>
      </c>
      <c r="B103" s="82">
        <v>135.8</v>
      </c>
      <c r="C103" s="78">
        <v>407.4</v>
      </c>
      <c r="D103" s="83"/>
      <c r="E103" s="6">
        <f>D103/D102*100</f>
        <v>0</v>
      </c>
      <c r="F103" s="6">
        <f t="shared" si="15"/>
        <v>0</v>
      </c>
      <c r="G103" s="6">
        <f t="shared" si="13"/>
        <v>0</v>
      </c>
      <c r="H103" s="6">
        <f aca="true" t="shared" si="16" ref="H103:H132">B103-D103</f>
        <v>135.8</v>
      </c>
      <c r="I103" s="6">
        <f t="shared" si="14"/>
        <v>407.4</v>
      </c>
    </row>
    <row r="104" spans="1:9" ht="18">
      <c r="A104" s="31" t="s">
        <v>34</v>
      </c>
      <c r="B104" s="85">
        <v>86.5</v>
      </c>
      <c r="C104" s="54">
        <v>259.5</v>
      </c>
      <c r="D104" s="86"/>
      <c r="E104" s="1"/>
      <c r="F104" s="1">
        <f t="shared" si="15"/>
        <v>0</v>
      </c>
      <c r="G104" s="1">
        <f t="shared" si="13"/>
        <v>0</v>
      </c>
      <c r="H104" s="1">
        <f t="shared" si="16"/>
        <v>86.5</v>
      </c>
      <c r="I104" s="1">
        <f t="shared" si="14"/>
        <v>259.5</v>
      </c>
    </row>
    <row r="105" spans="1:9" ht="34.5" customHeight="1" hidden="1">
      <c r="A105" s="19" t="s">
        <v>76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80</v>
      </c>
      <c r="B106" s="84">
        <v>8.5</v>
      </c>
      <c r="C106" s="71">
        <v>25.4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8.5</v>
      </c>
      <c r="I106" s="6">
        <f t="shared" si="14"/>
        <v>25.4</v>
      </c>
    </row>
    <row r="107" spans="1:9" ht="18" hidden="1">
      <c r="A107" s="31" t="s">
        <v>34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79</v>
      </c>
      <c r="B108" s="84">
        <v>12.8</v>
      </c>
      <c r="C108" s="71">
        <v>38.4</v>
      </c>
      <c r="D108" s="83"/>
      <c r="E108" s="6">
        <f>D108/D102*100</f>
        <v>0</v>
      </c>
      <c r="F108" s="6">
        <f t="shared" si="15"/>
        <v>0</v>
      </c>
      <c r="G108" s="6">
        <f t="shared" si="13"/>
        <v>0</v>
      </c>
      <c r="H108" s="6">
        <f t="shared" si="16"/>
        <v>12.8</v>
      </c>
      <c r="I108" s="6">
        <f t="shared" si="14"/>
        <v>38.4</v>
      </c>
    </row>
    <row r="109" spans="1:9" ht="37.5">
      <c r="A109" s="19" t="s">
        <v>48</v>
      </c>
      <c r="B109" s="84">
        <v>210.6</v>
      </c>
      <c r="C109" s="71">
        <v>632</v>
      </c>
      <c r="D109" s="83"/>
      <c r="E109" s="6">
        <f>D109/D102*100</f>
        <v>0</v>
      </c>
      <c r="F109" s="6">
        <f t="shared" si="15"/>
        <v>0</v>
      </c>
      <c r="G109" s="6">
        <f t="shared" si="13"/>
        <v>0</v>
      </c>
      <c r="H109" s="6">
        <f t="shared" si="16"/>
        <v>210.6</v>
      </c>
      <c r="I109" s="6">
        <f t="shared" si="14"/>
        <v>632</v>
      </c>
    </row>
    <row r="110" spans="1:9" ht="18" hidden="1">
      <c r="A110" s="42" t="s">
        <v>55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62</v>
      </c>
      <c r="B111" s="84">
        <v>16.9</v>
      </c>
      <c r="C111" s="63">
        <v>50.7</v>
      </c>
      <c r="D111" s="87"/>
      <c r="E111" s="21">
        <f>D111/D102*100</f>
        <v>0</v>
      </c>
      <c r="F111" s="21">
        <f t="shared" si="15"/>
        <v>0</v>
      </c>
      <c r="G111" s="21">
        <f t="shared" si="13"/>
        <v>0</v>
      </c>
      <c r="H111" s="21">
        <f t="shared" si="16"/>
        <v>16.9</v>
      </c>
      <c r="I111" s="21">
        <f t="shared" si="14"/>
        <v>50.7</v>
      </c>
    </row>
    <row r="112" spans="1:9" ht="37.5">
      <c r="A112" s="19" t="s">
        <v>61</v>
      </c>
      <c r="B112" s="84">
        <v>14</v>
      </c>
      <c r="C112" s="71">
        <v>42.1</v>
      </c>
      <c r="D112" s="83"/>
      <c r="E112" s="6">
        <f>D112/D102*100</f>
        <v>0</v>
      </c>
      <c r="F112" s="6">
        <f>D112/B112*100</f>
        <v>0</v>
      </c>
      <c r="G112" s="6">
        <f aca="true" t="shared" si="17" ref="G112:G132">D112/C112*100</f>
        <v>0</v>
      </c>
      <c r="H112" s="6">
        <f t="shared" si="16"/>
        <v>14</v>
      </c>
      <c r="I112" s="6">
        <f t="shared" si="14"/>
        <v>42.1</v>
      </c>
    </row>
    <row r="113" spans="1:9" s="2" customFormat="1" ht="18.75">
      <c r="A113" s="19" t="s">
        <v>16</v>
      </c>
      <c r="B113" s="84">
        <v>24.5</v>
      </c>
      <c r="C113" s="63">
        <v>73.4</v>
      </c>
      <c r="D113" s="83"/>
      <c r="E113" s="6">
        <f>D113/D102*100</f>
        <v>0</v>
      </c>
      <c r="F113" s="6">
        <f t="shared" si="15"/>
        <v>0</v>
      </c>
      <c r="G113" s="6">
        <f t="shared" si="17"/>
        <v>0</v>
      </c>
      <c r="H113" s="6">
        <f t="shared" si="16"/>
        <v>24.5</v>
      </c>
      <c r="I113" s="6">
        <f t="shared" si="14"/>
        <v>73.4</v>
      </c>
    </row>
    <row r="114" spans="1:9" s="41" customFormat="1" ht="18">
      <c r="A114" s="42" t="s">
        <v>55</v>
      </c>
      <c r="B114" s="85">
        <v>23</v>
      </c>
      <c r="C114" s="54">
        <v>67.4</v>
      </c>
      <c r="D114" s="86"/>
      <c r="E114" s="1"/>
      <c r="F114" s="1">
        <f t="shared" si="15"/>
        <v>0</v>
      </c>
      <c r="G114" s="1">
        <f t="shared" si="17"/>
        <v>0</v>
      </c>
      <c r="H114" s="1">
        <f t="shared" si="16"/>
        <v>23</v>
      </c>
      <c r="I114" s="1">
        <f t="shared" si="14"/>
        <v>67.4</v>
      </c>
    </row>
    <row r="115" spans="1:9" s="2" customFormat="1" ht="18.75">
      <c r="A115" s="19" t="s">
        <v>26</v>
      </c>
      <c r="B115" s="84">
        <v>14.3</v>
      </c>
      <c r="C115" s="63">
        <v>42.8</v>
      </c>
      <c r="D115" s="83"/>
      <c r="E115" s="6">
        <f>D115/D102*100</f>
        <v>0</v>
      </c>
      <c r="F115" s="6">
        <f t="shared" si="15"/>
        <v>0</v>
      </c>
      <c r="G115" s="6">
        <f t="shared" si="17"/>
        <v>0</v>
      </c>
      <c r="H115" s="6">
        <f t="shared" si="16"/>
        <v>14.3</v>
      </c>
      <c r="I115" s="6">
        <f t="shared" si="14"/>
        <v>42.8</v>
      </c>
    </row>
    <row r="116" spans="1:9" s="2" customFormat="1" ht="21.75" customHeight="1">
      <c r="A116" s="19" t="s">
        <v>46</v>
      </c>
      <c r="B116" s="84">
        <v>18.5</v>
      </c>
      <c r="C116" s="63">
        <v>55.4</v>
      </c>
      <c r="D116" s="87"/>
      <c r="E116" s="21">
        <f>D116/D102*100</f>
        <v>0</v>
      </c>
      <c r="F116" s="6">
        <f t="shared" si="15"/>
        <v>0</v>
      </c>
      <c r="G116" s="6">
        <f t="shared" si="17"/>
        <v>0</v>
      </c>
      <c r="H116" s="6">
        <f t="shared" si="16"/>
        <v>18.5</v>
      </c>
      <c r="I116" s="6">
        <f t="shared" si="14"/>
        <v>55.4</v>
      </c>
    </row>
    <row r="117" spans="1:9" s="2" customFormat="1" ht="37.5">
      <c r="A117" s="19" t="s">
        <v>50</v>
      </c>
      <c r="B117" s="84">
        <v>431.1</v>
      </c>
      <c r="C117" s="63">
        <v>1293.2</v>
      </c>
      <c r="D117" s="87"/>
      <c r="E117" s="21">
        <f>D117/D102*100</f>
        <v>0</v>
      </c>
      <c r="F117" s="6">
        <f t="shared" si="15"/>
        <v>0</v>
      </c>
      <c r="G117" s="6">
        <f t="shared" si="17"/>
        <v>0</v>
      </c>
      <c r="H117" s="6">
        <f t="shared" si="16"/>
        <v>431.1</v>
      </c>
      <c r="I117" s="6">
        <f t="shared" si="14"/>
        <v>1293.2</v>
      </c>
    </row>
    <row r="118" spans="1:9" s="2" customFormat="1" ht="56.25">
      <c r="A118" s="19" t="s">
        <v>57</v>
      </c>
      <c r="B118" s="84">
        <v>25.1</v>
      </c>
      <c r="C118" s="63">
        <v>75.3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25.1</v>
      </c>
      <c r="I118" s="6">
        <f t="shared" si="14"/>
        <v>75.3</v>
      </c>
    </row>
    <row r="119" spans="1:9" s="2" customFormat="1" ht="57" customHeight="1" hidden="1">
      <c r="A119" s="19" t="s">
        <v>74</v>
      </c>
      <c r="B119" s="84"/>
      <c r="C119" s="63"/>
      <c r="D119" s="87"/>
      <c r="E119" s="21">
        <f>D119/D102*100</f>
        <v>0</v>
      </c>
      <c r="F119" s="6"/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60</v>
      </c>
      <c r="B120" s="84">
        <v>63.4</v>
      </c>
      <c r="C120" s="63">
        <v>190.3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63.4</v>
      </c>
      <c r="I120" s="6">
        <f t="shared" si="14"/>
        <v>190.3</v>
      </c>
    </row>
    <row r="121" spans="1:9" s="2" customFormat="1" ht="37.5" hidden="1">
      <c r="A121" s="19" t="s">
        <v>83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77</v>
      </c>
      <c r="B122" s="84">
        <v>28.5</v>
      </c>
      <c r="C122" s="63">
        <v>85.7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28.5</v>
      </c>
      <c r="I122" s="6">
        <f t="shared" si="14"/>
        <v>85.7</v>
      </c>
    </row>
    <row r="123" spans="1:9" s="2" customFormat="1" ht="35.25" customHeight="1">
      <c r="A123" s="19" t="s">
        <v>75</v>
      </c>
      <c r="B123" s="84">
        <v>9.4</v>
      </c>
      <c r="C123" s="63">
        <v>28.2</v>
      </c>
      <c r="D123" s="87"/>
      <c r="E123" s="21">
        <f>D123/D102*100</f>
        <v>0</v>
      </c>
      <c r="F123" s="6">
        <f t="shared" si="15"/>
        <v>0</v>
      </c>
      <c r="G123" s="6">
        <f t="shared" si="17"/>
        <v>0</v>
      </c>
      <c r="H123" s="6">
        <f t="shared" si="16"/>
        <v>9.4</v>
      </c>
      <c r="I123" s="6">
        <f t="shared" si="14"/>
        <v>28.2</v>
      </c>
    </row>
    <row r="124" spans="1:9" s="2" customFormat="1" ht="35.25" customHeight="1">
      <c r="A124" s="19" t="s">
        <v>78</v>
      </c>
      <c r="B124" s="84">
        <v>41.7</v>
      </c>
      <c r="C124" s="63">
        <v>125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41.7</v>
      </c>
      <c r="I124" s="6">
        <f t="shared" si="14"/>
        <v>125</v>
      </c>
    </row>
    <row r="125" spans="1:9" s="2" customFormat="1" ht="18.75">
      <c r="A125" s="19" t="s">
        <v>103</v>
      </c>
      <c r="B125" s="84">
        <v>25.5</v>
      </c>
      <c r="C125" s="63">
        <v>76.6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25.5</v>
      </c>
      <c r="I125" s="6">
        <f t="shared" si="14"/>
        <v>76.6</v>
      </c>
    </row>
    <row r="126" spans="1:9" s="2" customFormat="1" ht="18.75">
      <c r="A126" s="19" t="s">
        <v>33</v>
      </c>
      <c r="B126" s="84">
        <v>136.2</v>
      </c>
      <c r="C126" s="63">
        <v>408.7</v>
      </c>
      <c r="D126" s="87">
        <f>21.4+1.2+34.6</f>
        <v>57.2</v>
      </c>
      <c r="E126" s="21">
        <f>D126/D102*100</f>
        <v>100</v>
      </c>
      <c r="F126" s="6">
        <f t="shared" si="15"/>
        <v>41.9970631424376</v>
      </c>
      <c r="G126" s="6">
        <f t="shared" si="17"/>
        <v>13.995595791534136</v>
      </c>
      <c r="H126" s="6">
        <f t="shared" si="16"/>
        <v>78.99999999999999</v>
      </c>
      <c r="I126" s="6">
        <f t="shared" si="14"/>
        <v>351.5</v>
      </c>
    </row>
    <row r="127" spans="1:9" s="41" customFormat="1" ht="18">
      <c r="A127" s="42" t="s">
        <v>55</v>
      </c>
      <c r="B127" s="85">
        <v>114.5</v>
      </c>
      <c r="C127" s="54">
        <v>351.5</v>
      </c>
      <c r="D127" s="86">
        <f>21.4+1.2+34.6</f>
        <v>57.2</v>
      </c>
      <c r="E127" s="1">
        <f>D127/D126*100</f>
        <v>100</v>
      </c>
      <c r="F127" s="1">
        <f>D127/B127*100</f>
        <v>49.95633187772926</v>
      </c>
      <c r="G127" s="1">
        <f t="shared" si="17"/>
        <v>16.273115220483643</v>
      </c>
      <c r="H127" s="1">
        <f t="shared" si="16"/>
        <v>57.3</v>
      </c>
      <c r="I127" s="1">
        <f t="shared" si="14"/>
        <v>294.3</v>
      </c>
    </row>
    <row r="128" spans="1:9" s="41" customFormat="1" ht="18">
      <c r="A128" s="31" t="s">
        <v>34</v>
      </c>
      <c r="B128" s="85">
        <v>8.5</v>
      </c>
      <c r="C128" s="54">
        <v>15.5</v>
      </c>
      <c r="D128" s="86"/>
      <c r="E128" s="1">
        <f>D128/D126*100</f>
        <v>0</v>
      </c>
      <c r="F128" s="1">
        <f>D128/B128*100</f>
        <v>0</v>
      </c>
      <c r="G128" s="1">
        <f>D128/C128*100</f>
        <v>0</v>
      </c>
      <c r="H128" s="1">
        <f t="shared" si="16"/>
        <v>8.5</v>
      </c>
      <c r="I128" s="1">
        <f t="shared" si="14"/>
        <v>15.5</v>
      </c>
    </row>
    <row r="129" spans="1:9" s="2" customFormat="1" ht="18.75">
      <c r="A129" s="19" t="s">
        <v>28</v>
      </c>
      <c r="B129" s="84">
        <v>2094</v>
      </c>
      <c r="C129" s="63">
        <v>4188</v>
      </c>
      <c r="D129" s="87"/>
      <c r="E129" s="21">
        <f>D129/D102*100</f>
        <v>0</v>
      </c>
      <c r="F129" s="6"/>
      <c r="G129" s="6">
        <f t="shared" si="17"/>
        <v>0</v>
      </c>
      <c r="H129" s="6">
        <f t="shared" si="16"/>
        <v>2094</v>
      </c>
      <c r="I129" s="6">
        <f t="shared" si="14"/>
        <v>4188</v>
      </c>
    </row>
    <row r="130" spans="1:12" s="2" customFormat="1" ht="18.75" hidden="1">
      <c r="A130" s="19" t="s">
        <v>22</v>
      </c>
      <c r="B130" s="84"/>
      <c r="C130" s="63"/>
      <c r="D130" s="87"/>
      <c r="E130" s="21">
        <f>D130/D102*100</f>
        <v>0</v>
      </c>
      <c r="F130" s="6" t="e">
        <f>D130/B130*100</f>
        <v>#DIV/0!</v>
      </c>
      <c r="G130" s="6" t="e">
        <f t="shared" si="17"/>
        <v>#DIV/0!</v>
      </c>
      <c r="H130" s="6">
        <f t="shared" si="16"/>
        <v>0</v>
      </c>
      <c r="I130" s="6">
        <f t="shared" si="14"/>
        <v>0</v>
      </c>
      <c r="K130" s="48"/>
      <c r="L130" s="48"/>
    </row>
    <row r="131" spans="1:12" s="2" customFormat="1" ht="19.5" customHeight="1" hidden="1">
      <c r="A131" s="19" t="s">
        <v>68</v>
      </c>
      <c r="B131" s="84"/>
      <c r="C131" s="63"/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63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38</v>
      </c>
      <c r="B133" s="88">
        <f>B41+B66+B69+B74+B76+B84+B98+B102+B96+B81+B94</f>
        <v>4592.5</v>
      </c>
      <c r="C133" s="88">
        <f>C41+C66+C69+C74+C76+C84+C98+C102+C96+C81+C94</f>
        <v>11683.7</v>
      </c>
      <c r="D133" s="63">
        <f>D41+D66+D69+D74+D76+D84+D98+D102+D96+D81+D94</f>
        <v>401.5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105961.20000000001</v>
      </c>
      <c r="C134" s="57">
        <f>C6+C17+C31+C41+C49+C56+C66+C69+C74+C76+C84+C87+C92+C98+C102+C96+C81+C94+C43</f>
        <v>315789.9</v>
      </c>
      <c r="D134" s="57">
        <f>D6+D17+D31+D41+D49+D56+D66+D69+D74+D76+D84+D87+D92+D98+D102+D96+D81+D94+D43</f>
        <v>45436.100000000006</v>
      </c>
      <c r="E134" s="40">
        <v>100</v>
      </c>
      <c r="F134" s="3">
        <f>D134/B134*100</f>
        <v>42.879940959521036</v>
      </c>
      <c r="G134" s="3">
        <f aca="true" t="shared" si="18" ref="G134:G140">D134/C134*100</f>
        <v>14.388078909426808</v>
      </c>
      <c r="H134" s="3">
        <f aca="true" t="shared" si="19" ref="H134:H140">B134-D134</f>
        <v>60525.100000000006</v>
      </c>
      <c r="I134" s="3">
        <f aca="true" t="shared" si="20" ref="I134:I140">C134-D134</f>
        <v>270353.80000000005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75061.3</v>
      </c>
      <c r="C135" s="70">
        <f>C7+C18+C32+C50+C57+C88+C110+C114+C44+C127</f>
        <v>227074.3</v>
      </c>
      <c r="D135" s="70">
        <f>D7+D18+D32+D50+D57+D88+D110+D114+D44+D127</f>
        <v>36128.59999999999</v>
      </c>
      <c r="E135" s="6">
        <f>D135/D134*100</f>
        <v>79.51518726299129</v>
      </c>
      <c r="F135" s="6">
        <f aca="true" t="shared" si="21" ref="F135:F146">D135/B135*100</f>
        <v>48.13212667513085</v>
      </c>
      <c r="G135" s="6">
        <f t="shared" si="18"/>
        <v>15.910475117615686</v>
      </c>
      <c r="H135" s="6">
        <f t="shared" si="19"/>
        <v>38932.70000000001</v>
      </c>
      <c r="I135" s="20">
        <f t="shared" si="20"/>
        <v>190945.7</v>
      </c>
      <c r="K135" s="49"/>
      <c r="L135" s="50"/>
    </row>
    <row r="136" spans="1:12" ht="18.75">
      <c r="A136" s="25" t="s">
        <v>0</v>
      </c>
      <c r="B136" s="71">
        <f>B10+B21+B34+B53+B59+B89+B47+B128+B104+B107</f>
        <v>11560.699999999999</v>
      </c>
      <c r="C136" s="71">
        <f>C10+C21+C34+C53+C59+C89+C47+C128+C104+C107</f>
        <v>31832.1</v>
      </c>
      <c r="D136" s="71">
        <f>D10+D21+D34+D53+D59+D89+D47+D128+D104+D107</f>
        <v>277.3</v>
      </c>
      <c r="E136" s="6">
        <f>D136/D134*100</f>
        <v>0.6103076628495843</v>
      </c>
      <c r="F136" s="6">
        <f t="shared" si="21"/>
        <v>2.398643680745976</v>
      </c>
      <c r="G136" s="6">
        <f t="shared" si="18"/>
        <v>0.8711332271512091</v>
      </c>
      <c r="H136" s="6">
        <f t="shared" si="19"/>
        <v>11283.4</v>
      </c>
      <c r="I136" s="20">
        <f t="shared" si="20"/>
        <v>31554.8</v>
      </c>
      <c r="K136" s="49"/>
      <c r="L136" s="106"/>
    </row>
    <row r="137" spans="1:12" ht="18.75">
      <c r="A137" s="25" t="s">
        <v>1</v>
      </c>
      <c r="B137" s="70">
        <f>B20+B9+B52+B46+B58+B33+B99</f>
        <v>3487.3</v>
      </c>
      <c r="C137" s="70">
        <f>C20+C9+C52+C46+C58+C33+C99</f>
        <v>10146.300000000001</v>
      </c>
      <c r="D137" s="70">
        <f>D20+D9+D52+D46+D58+D33+D99</f>
        <v>1530.7</v>
      </c>
      <c r="E137" s="6">
        <f>D137/D134*100</f>
        <v>3.3689071025021953</v>
      </c>
      <c r="F137" s="6">
        <f t="shared" si="21"/>
        <v>43.89355661973446</v>
      </c>
      <c r="G137" s="6">
        <f t="shared" si="18"/>
        <v>15.08628761223303</v>
      </c>
      <c r="H137" s="6">
        <f t="shared" si="19"/>
        <v>1956.6000000000001</v>
      </c>
      <c r="I137" s="20">
        <f t="shared" si="20"/>
        <v>8615.6</v>
      </c>
      <c r="K137" s="49"/>
      <c r="L137" s="50"/>
    </row>
    <row r="138" spans="1:12" ht="21" customHeight="1">
      <c r="A138" s="25" t="s">
        <v>15</v>
      </c>
      <c r="B138" s="70">
        <f>B11+B22+B100+B60+B36+B90</f>
        <v>938.6999999999999</v>
      </c>
      <c r="C138" s="70">
        <f>C11+C22+C100+C60+C36+C90</f>
        <v>3397.9</v>
      </c>
      <c r="D138" s="70">
        <f>D11+D22+D100+D60+D36+D90</f>
        <v>423</v>
      </c>
      <c r="E138" s="6">
        <f>D138/D134*100</f>
        <v>0.9309777907875014</v>
      </c>
      <c r="F138" s="6">
        <f t="shared" si="21"/>
        <v>45.06232023010547</v>
      </c>
      <c r="G138" s="6">
        <f t="shared" si="18"/>
        <v>12.448865475735014</v>
      </c>
      <c r="H138" s="6">
        <f t="shared" si="19"/>
        <v>515.6999999999999</v>
      </c>
      <c r="I138" s="20">
        <f t="shared" si="20"/>
        <v>2974.9</v>
      </c>
      <c r="K138" s="49"/>
      <c r="L138" s="106"/>
    </row>
    <row r="139" spans="1:12" ht="18.75">
      <c r="A139" s="25" t="s">
        <v>2</v>
      </c>
      <c r="B139" s="70">
        <f>B8+B19+B45+B51</f>
        <v>1052.9</v>
      </c>
      <c r="C139" s="70">
        <f>C8+C19+C45+C51</f>
        <v>3438.4</v>
      </c>
      <c r="D139" s="70">
        <f>D8+D19+D45+D51</f>
        <v>114.7</v>
      </c>
      <c r="E139" s="6">
        <f>D139/D134*100</f>
        <v>0.25244244114261566</v>
      </c>
      <c r="F139" s="6">
        <f t="shared" si="21"/>
        <v>10.893722100864279</v>
      </c>
      <c r="G139" s="6">
        <f t="shared" si="18"/>
        <v>3.3358538855281528</v>
      </c>
      <c r="H139" s="6">
        <f t="shared" si="19"/>
        <v>938.2</v>
      </c>
      <c r="I139" s="20">
        <f t="shared" si="20"/>
        <v>3323.7000000000003</v>
      </c>
      <c r="K139" s="49"/>
      <c r="L139" s="50"/>
    </row>
    <row r="140" spans="1:12" ht="19.5" thickBot="1">
      <c r="A140" s="25" t="s">
        <v>36</v>
      </c>
      <c r="B140" s="70">
        <f>B134-B135-B136-B137-B138-B139</f>
        <v>13860.300000000012</v>
      </c>
      <c r="C140" s="70">
        <f>C134-C135-C136-C137-C138-C139</f>
        <v>39900.90000000003</v>
      </c>
      <c r="D140" s="70">
        <f>D134-D135-D136-D137-D138-D139</f>
        <v>6961.800000000016</v>
      </c>
      <c r="E140" s="6">
        <f>D140/D134*100</f>
        <v>15.322177739726813</v>
      </c>
      <c r="F140" s="6">
        <f t="shared" si="21"/>
        <v>50.22835003571359</v>
      </c>
      <c r="G140" s="46">
        <f t="shared" si="18"/>
        <v>17.447726743005823</v>
      </c>
      <c r="H140" s="6">
        <f t="shared" si="19"/>
        <v>6898.499999999996</v>
      </c>
      <c r="I140" s="6">
        <f t="shared" si="20"/>
        <v>32939.10000000001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 hidden="1">
      <c r="A142" s="34" t="s">
        <v>21</v>
      </c>
      <c r="B142" s="91"/>
      <c r="C142" s="77"/>
      <c r="D142" s="77"/>
      <c r="E142" s="16"/>
      <c r="F142" s="6" t="e">
        <f t="shared" si="21"/>
        <v>#DIV/0!</v>
      </c>
      <c r="G142" s="6" t="e">
        <f aca="true" t="shared" si="22" ref="G142:G151">D142/C142*100</f>
        <v>#DIV/0!</v>
      </c>
      <c r="H142" s="6">
        <f>B142-D142</f>
        <v>0</v>
      </c>
      <c r="I142" s="6">
        <f aca="true" t="shared" si="23" ref="I142:I151">C142-D142</f>
        <v>0</v>
      </c>
      <c r="J142" s="109"/>
      <c r="K142" s="49"/>
      <c r="L142" s="49"/>
    </row>
    <row r="143" spans="1:12" ht="18.75" hidden="1">
      <c r="A143" s="25" t="s">
        <v>23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 hidden="1">
      <c r="A144" s="25" t="s">
        <v>64</v>
      </c>
      <c r="B144" s="92"/>
      <c r="C144" s="70"/>
      <c r="D144" s="70"/>
      <c r="E144" s="6"/>
      <c r="F144" s="6" t="e">
        <f t="shared" si="21"/>
        <v>#DIV/0!</v>
      </c>
      <c r="G144" s="6" t="e">
        <f t="shared" si="22"/>
        <v>#DIV/0!</v>
      </c>
      <c r="H144" s="6">
        <f t="shared" si="24"/>
        <v>0</v>
      </c>
      <c r="I144" s="6">
        <f t="shared" si="23"/>
        <v>0</v>
      </c>
      <c r="K144" s="49"/>
      <c r="L144" s="49"/>
    </row>
    <row r="145" spans="1:12" ht="37.5" hidden="1">
      <c r="A145" s="25" t="s">
        <v>73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1460.2</v>
      </c>
      <c r="C146" s="70">
        <v>4380.6</v>
      </c>
      <c r="D146" s="70">
        <f>368.2+450.3</f>
        <v>818.5</v>
      </c>
      <c r="E146" s="21"/>
      <c r="F146" s="6">
        <f t="shared" si="21"/>
        <v>56.053965210245174</v>
      </c>
      <c r="G146" s="6">
        <f t="shared" si="22"/>
        <v>18.684655070081725</v>
      </c>
      <c r="H146" s="6">
        <f t="shared" si="24"/>
        <v>641.7</v>
      </c>
      <c r="I146" s="6">
        <f t="shared" si="23"/>
        <v>3562.1000000000004</v>
      </c>
      <c r="K146" s="49"/>
      <c r="L146" s="49"/>
    </row>
    <row r="147" spans="1:12" ht="18.75">
      <c r="A147" s="25" t="s">
        <v>27</v>
      </c>
      <c r="B147" s="92">
        <v>18.5</v>
      </c>
      <c r="C147" s="70">
        <v>55.4</v>
      </c>
      <c r="D147" s="70"/>
      <c r="E147" s="21"/>
      <c r="F147" s="6">
        <f>D147/B147*100</f>
        <v>0</v>
      </c>
      <c r="G147" s="6">
        <f t="shared" si="22"/>
        <v>0</v>
      </c>
      <c r="H147" s="6">
        <f t="shared" si="24"/>
        <v>18.5</v>
      </c>
      <c r="I147" s="6">
        <f t="shared" si="23"/>
        <v>55.4</v>
      </c>
      <c r="K147" s="49"/>
      <c r="L147" s="49"/>
    </row>
    <row r="148" spans="1:9" ht="18.75" hidden="1">
      <c r="A148" s="25" t="s">
        <v>54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>
      <c r="A149" s="25" t="s">
        <v>71</v>
      </c>
      <c r="B149" s="92">
        <v>604</v>
      </c>
      <c r="C149" s="70">
        <v>1812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604</v>
      </c>
      <c r="I149" s="6">
        <f t="shared" si="23"/>
        <v>1812</v>
      </c>
    </row>
    <row r="150" spans="1:9" ht="19.5" thickBot="1">
      <c r="A150" s="25" t="s">
        <v>65</v>
      </c>
      <c r="B150" s="92">
        <v>1176.1</v>
      </c>
      <c r="C150" s="93">
        <v>3528.2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1176.1</v>
      </c>
      <c r="I150" s="6">
        <f t="shared" si="23"/>
        <v>3528.2</v>
      </c>
    </row>
    <row r="151" spans="1:9" ht="19.5" thickBot="1">
      <c r="A151" s="15" t="s">
        <v>20</v>
      </c>
      <c r="B151" s="94">
        <f>B134+B142+B146+B147+B143+B150+B149+B144+B148+B145</f>
        <v>109220.00000000001</v>
      </c>
      <c r="C151" s="94">
        <f>C134+C142+C146+C147+C143+C150+C149+C144+C148+C145</f>
        <v>325566.10000000003</v>
      </c>
      <c r="D151" s="94">
        <f>D134+D142+D146+D147+D143+D150+D149+D144+D148+D145</f>
        <v>46254.600000000006</v>
      </c>
      <c r="E151" s="27"/>
      <c r="F151" s="3">
        <f>D151/B151*100</f>
        <v>42.34993590917414</v>
      </c>
      <c r="G151" s="3">
        <f t="shared" si="22"/>
        <v>14.20743744511483</v>
      </c>
      <c r="H151" s="3">
        <f>B151-D151</f>
        <v>62965.40000000001</v>
      </c>
      <c r="I151" s="3">
        <f t="shared" si="23"/>
        <v>279311.5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4" right="0.16" top="0.29" bottom="0.18" header="0.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45436.100000000006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45436.100000000006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2014-01-31T12:26:39Z</cp:lastPrinted>
  <dcterms:created xsi:type="dcterms:W3CDTF">2000-06-20T04:48:00Z</dcterms:created>
  <dcterms:modified xsi:type="dcterms:W3CDTF">2014-02-05T06:01:32Z</dcterms:modified>
  <cp:category/>
  <cp:version/>
  <cp:contentType/>
  <cp:contentStatus/>
</cp:coreProperties>
</file>